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cadminsolutions.sharepoint.com/sites/bookskeepHumanResources/Shared Documents/HR/Auto BooksPeep Journey/Bookkeeper position/"/>
    </mc:Choice>
  </mc:AlternateContent>
  <xr:revisionPtr revIDLastSave="48" documentId="8_{B07F4F3E-A9A6-4C14-BD81-C5D0D1391979}" xr6:coauthVersionLast="46" xr6:coauthVersionMax="46" xr10:uidLastSave="{00B04945-AA11-48F6-9FB0-E5F9680DDF61}"/>
  <bookViews>
    <workbookView xWindow="-110" yWindow="-110" windowWidth="19420" windowHeight="10420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C67" i="1"/>
  <c r="C66" i="1"/>
  <c r="C65" i="1"/>
  <c r="C63" i="1"/>
  <c r="C62" i="1"/>
  <c r="C61" i="1"/>
  <c r="C60" i="1"/>
  <c r="C64" i="1" s="1"/>
  <c r="C55" i="1"/>
  <c r="C56" i="1" s="1"/>
  <c r="C51" i="1"/>
  <c r="C50" i="1"/>
  <c r="C48" i="1"/>
  <c r="C47" i="1"/>
  <c r="C46" i="1"/>
  <c r="C45" i="1"/>
  <c r="C44" i="1"/>
  <c r="C42" i="1"/>
  <c r="C39" i="1"/>
  <c r="C38" i="1"/>
  <c r="C37" i="1"/>
  <c r="C30" i="1"/>
  <c r="C31" i="1" s="1"/>
  <c r="C27" i="1"/>
  <c r="C26" i="1"/>
  <c r="C22" i="1"/>
  <c r="C21" i="1"/>
  <c r="C20" i="1"/>
  <c r="C19" i="1"/>
  <c r="C18" i="1"/>
  <c r="C15" i="1"/>
  <c r="C14" i="1"/>
  <c r="C13" i="1"/>
  <c r="C12" i="1"/>
  <c r="C11" i="1"/>
  <c r="C10" i="1"/>
  <c r="C9" i="1"/>
  <c r="G8" i="1"/>
  <c r="G9" i="1"/>
  <c r="G11" i="1"/>
  <c r="G12" i="1"/>
  <c r="G14" i="1"/>
  <c r="G15" i="1"/>
  <c r="G16" i="1"/>
  <c r="G17" i="1"/>
  <c r="G20" i="1"/>
  <c r="G23" i="1"/>
  <c r="G25" i="1"/>
  <c r="G27" i="1"/>
  <c r="G28" i="1"/>
  <c r="G30" i="1"/>
  <c r="G31" i="1"/>
  <c r="G32" i="1"/>
  <c r="G33" i="1"/>
  <c r="G35" i="1"/>
  <c r="G36" i="1"/>
  <c r="G42" i="1"/>
  <c r="G43" i="1"/>
  <c r="G44" i="1"/>
  <c r="G46" i="1"/>
  <c r="G47" i="1"/>
  <c r="G49" i="1"/>
  <c r="G50" i="1"/>
  <c r="G51" i="1"/>
  <c r="G52" i="1"/>
  <c r="G54" i="1"/>
  <c r="G55" i="1" s="1"/>
  <c r="G56" i="1"/>
  <c r="G57" i="1"/>
  <c r="G58" i="1"/>
  <c r="G60" i="1"/>
  <c r="G61" i="1"/>
  <c r="G62" i="1"/>
  <c r="G64" i="1"/>
  <c r="G65" i="1"/>
  <c r="G69" i="1"/>
  <c r="G70" i="1" s="1"/>
  <c r="G71" i="1" s="1"/>
  <c r="C28" i="1" l="1"/>
  <c r="G45" i="1"/>
  <c r="C69" i="1"/>
  <c r="C23" i="1"/>
  <c r="G29" i="1"/>
  <c r="G34" i="1" s="1"/>
  <c r="G37" i="1" s="1"/>
  <c r="G13" i="1"/>
  <c r="G63" i="1"/>
  <c r="G10" i="1"/>
  <c r="C49" i="1"/>
  <c r="C52" i="1" s="1"/>
  <c r="G48" i="1"/>
  <c r="G18" i="1"/>
  <c r="G66" i="1" l="1"/>
  <c r="G67" i="1" s="1"/>
  <c r="C57" i="1"/>
</calcChain>
</file>

<file path=xl/sharedStrings.xml><?xml version="1.0" encoding="utf-8"?>
<sst xmlns="http://schemas.openxmlformats.org/spreadsheetml/2006/main" count="141" uniqueCount="140">
  <si>
    <t>Total</t>
  </si>
  <si>
    <t>Income</t>
  </si>
  <si>
    <t xml:space="preserve">   Ecommerce Income</t>
  </si>
  <si>
    <t xml:space="preserve">      AMZ Sales</t>
  </si>
  <si>
    <t xml:space="preserve">         AMZ Refunds</t>
  </si>
  <si>
    <t xml:space="preserve">      Total AMZ Sales</t>
  </si>
  <si>
    <t xml:space="preserve">      Braintree Sales</t>
  </si>
  <si>
    <t xml:space="preserve">         Braintree Refund Sales</t>
  </si>
  <si>
    <t xml:space="preserve">      Total Braintree Sales</t>
  </si>
  <si>
    <t xml:space="preserve">      eBay Sales</t>
  </si>
  <si>
    <t xml:space="preserve">      Merch Sales</t>
  </si>
  <si>
    <t xml:space="preserve">      PayPal Sales</t>
  </si>
  <si>
    <t xml:space="preserve">         PayPal Refund Sales</t>
  </si>
  <si>
    <t xml:space="preserve">      Total PayPal Sales</t>
  </si>
  <si>
    <t xml:space="preserve">   Total Ecommerce Income</t>
  </si>
  <si>
    <t xml:space="preserve">   Non-Ecommerce Income</t>
  </si>
  <si>
    <t>Total Income</t>
  </si>
  <si>
    <t>Cost of Goods Sold</t>
  </si>
  <si>
    <t xml:space="preserve">   Cost of Goods Sold</t>
  </si>
  <si>
    <t xml:space="preserve">   Cost of Sales</t>
  </si>
  <si>
    <t xml:space="preserve">      AMZ Subscriptions</t>
  </si>
  <si>
    <t xml:space="preserve">      Merchant Processing Fees</t>
  </si>
  <si>
    <t xml:space="preserve">         AMZ Fees</t>
  </si>
  <si>
    <t xml:space="preserve">            AMZ Refund Fees</t>
  </si>
  <si>
    <t xml:space="preserve">         Total AMZ Fees</t>
  </si>
  <si>
    <t xml:space="preserve">         Braintree Fees</t>
  </si>
  <si>
    <t xml:space="preserve">         eBay Fees</t>
  </si>
  <si>
    <t xml:space="preserve">         Merch Fees</t>
  </si>
  <si>
    <t xml:space="preserve">         PayPal Fees</t>
  </si>
  <si>
    <t xml:space="preserve">      Total Merchant Processing Fees</t>
  </si>
  <si>
    <t xml:space="preserve">      Shipping Insurance</t>
  </si>
  <si>
    <t xml:space="preserve">      Shipping/Freight/Delivery  - COS</t>
  </si>
  <si>
    <t xml:space="preserve">   Total Cost of Sales</t>
  </si>
  <si>
    <t>Total Cost of Goods Sold</t>
  </si>
  <si>
    <t>Gross Profit</t>
  </si>
  <si>
    <t>Expenses</t>
  </si>
  <si>
    <t xml:space="preserve">   Advertising &amp; Promotion</t>
  </si>
  <si>
    <t xml:space="preserve">      Marketing Agency Fees</t>
  </si>
  <si>
    <t xml:space="preserve">      Other Advertising/Promotional</t>
  </si>
  <si>
    <t xml:space="preserve">      PPC</t>
  </si>
  <si>
    <t xml:space="preserve">   Total Advertising &amp; Promotion</t>
  </si>
  <si>
    <t xml:space="preserve">   Bank Fees &amp; Credit Card Charges</t>
  </si>
  <si>
    <t xml:space="preserve">      Credit Card Rewards</t>
  </si>
  <si>
    <t xml:space="preserve">   Total Bank Fees &amp; Credit Card Charges</t>
  </si>
  <si>
    <t xml:space="preserve">   Computer &amp; Internet</t>
  </si>
  <si>
    <t xml:space="preserve">   Dues &amp; Subscriptions</t>
  </si>
  <si>
    <t xml:space="preserve">   Employee Education &amp; Training</t>
  </si>
  <si>
    <t xml:space="preserve">   Insurance</t>
  </si>
  <si>
    <t xml:space="preserve">   Interest Expense</t>
  </si>
  <si>
    <t xml:space="preserve">      Other Interest</t>
  </si>
  <si>
    <t xml:space="preserve">   Total Interest Expense</t>
  </si>
  <si>
    <t xml:space="preserve">   Legal &amp; Professional Fees</t>
  </si>
  <si>
    <t xml:space="preserve">   Office Supply</t>
  </si>
  <si>
    <t xml:space="preserve">   Outside Services &amp; Subcontractors</t>
  </si>
  <si>
    <t xml:space="preserve">   Payroll Expenses</t>
  </si>
  <si>
    <t xml:space="preserve">      Payroll Administrative Expenses</t>
  </si>
  <si>
    <t xml:space="preserve">      Salaries &amp; Wages - Officer</t>
  </si>
  <si>
    <t xml:space="preserve">      Taxes - Payroll</t>
  </si>
  <si>
    <t xml:space="preserve">   Total Payroll Expenses</t>
  </si>
  <si>
    <t xml:space="preserve">   Taxes - Licenses - Permits</t>
  </si>
  <si>
    <t xml:space="preserve">   Tools</t>
  </si>
  <si>
    <t>Total Expenses</t>
  </si>
  <si>
    <t>Net Operating Income</t>
  </si>
  <si>
    <t>Other Income</t>
  </si>
  <si>
    <t xml:space="preserve">   Interest Earned</t>
  </si>
  <si>
    <t>Total Other Income</t>
  </si>
  <si>
    <t>Net Other Income</t>
  </si>
  <si>
    <t>Net Income</t>
  </si>
  <si>
    <t>Profit and Loss</t>
  </si>
  <si>
    <t>January - April, 2021</t>
  </si>
  <si>
    <t>Balance Sheet</t>
  </si>
  <si>
    <t>As of April 30, 2021</t>
  </si>
  <si>
    <t>ASSETS</t>
  </si>
  <si>
    <t xml:space="preserve">   Current Assets</t>
  </si>
  <si>
    <t xml:space="preserve">      Bank Accounts</t>
  </si>
  <si>
    <t xml:space="preserve">         PayPal Bank</t>
  </si>
  <si>
    <t xml:space="preserve">         US Bank Income (1561)</t>
  </si>
  <si>
    <t xml:space="preserve">         US Bank Inv Pre-Order (2315)</t>
  </si>
  <si>
    <t xml:space="preserve">         US Bank Inventory (1595)</t>
  </si>
  <si>
    <t xml:space="preserve">         US Bank OpEX (7405)</t>
  </si>
  <si>
    <t xml:space="preserve">         US Bank Payroll (1587)</t>
  </si>
  <si>
    <t xml:space="preserve">         US Bank Profit (2497)</t>
  </si>
  <si>
    <t xml:space="preserve">      Total Bank Accounts</t>
  </si>
  <si>
    <t xml:space="preserve">      Other Current Assets</t>
  </si>
  <si>
    <t xml:space="preserve">         Amazon Carried Balances</t>
  </si>
  <si>
    <t xml:space="preserve">         Amazon Carryover Balance</t>
  </si>
  <si>
    <t xml:space="preserve">         AMZ Unavailable Balance</t>
  </si>
  <si>
    <t xml:space="preserve">         Inventory</t>
  </si>
  <si>
    <t xml:space="preserve">         Inventory Asset</t>
  </si>
  <si>
    <t xml:space="preserve">      Total Other Current Assets</t>
  </si>
  <si>
    <t xml:space="preserve">   Total Current Assets</t>
  </si>
  <si>
    <t xml:space="preserve">   Fixed Assets</t>
  </si>
  <si>
    <t xml:space="preserve">      Accumulated Depreciation</t>
  </si>
  <si>
    <t xml:space="preserve">      Equipment</t>
  </si>
  <si>
    <t xml:space="preserve">   Total Fixed Assets</t>
  </si>
  <si>
    <t xml:space="preserve">   Other Assets</t>
  </si>
  <si>
    <t xml:space="preserve">      Intercompany Receivable/(Payable)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</si>
  <si>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</si>
  <si>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</si>
  <si>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</si>
  <si>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</si>
  <si>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</si>
  <si>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Credit Cards</t>
  </si>
  <si>
    <t xml:space="preserve">            Cap One CC (0900)</t>
  </si>
  <si>
    <t xml:space="preserve">            Citi Double Cash CC (3257)</t>
  </si>
  <si>
    <t xml:space="preserve">            US Bank CC (2661)</t>
  </si>
  <si>
    <t xml:space="preserve">         Total Credit Cards</t>
  </si>
  <si>
    <t xml:space="preserve">         Other Current Liabilities</t>
  </si>
  <si>
    <t xml:space="preserve">            Deferred Revenue</t>
  </si>
  <si>
    <t xml:space="preserve">            Loans Payable</t>
  </si>
  <si>
    <t xml:space="preserve">               Business Reserve Line (1587)</t>
  </si>
  <si>
    <t xml:space="preserve">               Loan Payable - Owner</t>
  </si>
  <si>
    <t xml:space="preserve">               PPP Loan</t>
  </si>
  <si>
    <t xml:space="preserve">               StreetShares</t>
  </si>
  <si>
    <t xml:space="preserve">               US Bank Loan</t>
  </si>
  <si>
    <t xml:space="preserve">            Total Loans Payable</t>
  </si>
  <si>
    <t xml:space="preserve">            Payroll Liabilities</t>
  </si>
  <si>
    <t xml:space="preserve">            Sales Tax Payable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</si>
  <si>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</si>
  <si>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</si>
  <si>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</si>
  <si>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Notes Payable-Officer</t>
  </si>
  <si>
    <t xml:space="preserve">      Total Long-Term Liabilities</t>
  </si>
  <si>
    <t xml:space="preserve">   Total Liabilities</t>
  </si>
  <si>
    <t xml:space="preserve">   Equity</t>
  </si>
  <si>
    <t xml:space="preserve">      Capital</t>
  </si>
  <si>
    <t xml:space="preserve">         Capital Clearing</t>
  </si>
  <si>
    <t xml:space="preserve">         Home Office</t>
  </si>
  <si>
    <t xml:space="preserve">         Personal Bank Account</t>
  </si>
  <si>
    <t xml:space="preserve">         Personal Credit Card</t>
  </si>
  <si>
    <t xml:space="preserve">      Total Capital</t>
  </si>
  <si>
    <t xml:space="preserve">      Retained Earnings</t>
  </si>
  <si>
    <t xml:space="preserve">      Shareholder Contributions</t>
  </si>
  <si>
    <t xml:space="preserve">      Shareholder Distributions</t>
  </si>
  <si>
    <t xml:space="preserve">      Net Income</t>
  </si>
  <si>
    <t xml:space="preserve">   Total Equity</t>
  </si>
  <si>
    <t>TOTAL LIABILITIES AND EQUITY</t>
  </si>
  <si>
    <t>Gross Margin Calculations</t>
  </si>
  <si>
    <t>Net Margin Calculations</t>
  </si>
  <si>
    <t>Complete any needed information in the reports above (feel free to highlight or make notes in Column D and/or Column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</si>
</sst>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right" wrapText="1"/>
    </xf>
    <xf numFmtId="165" fontId="2" fillId="2" borderId="4" xfId="0" applyNumberFormat="1" applyFont="1" applyFill="1" applyBorder="1" applyAlignment="1">
      <alignment horizontal="right"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70" workbookViewId="0">
      <selection activeCell="D22" sqref="D22"/>
    </sheetView>
  </sheetViews>
  <sheetFormatPr defaultRowHeight="14.5" x14ac:dyDescent="0.35"/>
  <cols>
    <col min="1" max="1" width="4.453125" customWidth="1"/>
    <col min="2" max="2" width="31.26953125" customWidth="1"/>
    <col min="3" max="4" width="20.6328125" customWidth="1"/>
    <col min="5" max="5" width="5.08984375" customWidth="1"/>
    <col min="6" max="6" width="23.1796875" customWidth="1"/>
    <col min="7" max="7" width="26.1796875" customWidth="1"/>
    <col min="8" max="8" width="19.7265625" customWidth="1"/>
    <col min="9" max="9" width="4.90625" customWidth="1"/>
  </cols>
  <sheetData>
    <row r="1" spans="1:9" ht="18" x14ac:dyDescent="0.4">
      <c r="A1" s="15"/>
      <c r="B1" s="20"/>
      <c r="C1" s="23"/>
      <c r="D1" s="15"/>
      <c r="E1" s="10"/>
      <c r="F1" s="20"/>
      <c r="G1" s="20"/>
      <c r="H1" s="16"/>
      <c r="I1" s="15"/>
    </row>
    <row r="2" spans="1:9" ht="18" x14ac:dyDescent="0.4">
      <c r="A2" s="15"/>
      <c r="B2" s="21" t="s">
        <v>70</v>
      </c>
      <c r="C2" s="24"/>
      <c r="D2" s="17"/>
      <c r="E2" s="10"/>
      <c r="F2" s="21" t="s">
        <v>68</v>
      </c>
      <c r="G2" s="21"/>
      <c r="H2" s="18"/>
      <c r="I2" s="15"/>
    </row>
    <row r="3" spans="1:9" x14ac:dyDescent="0.35">
      <c r="A3" s="15"/>
      <c r="B3" s="22" t="s">
        <v>71</v>
      </c>
      <c r="C3" s="24"/>
      <c r="D3" s="17"/>
      <c r="E3" s="10"/>
      <c r="F3" s="22" t="s">
        <v>69</v>
      </c>
      <c r="G3" s="22"/>
      <c r="H3" s="19"/>
      <c r="I3" s="15"/>
    </row>
    <row r="4" spans="1:9" x14ac:dyDescent="0.35">
      <c r="A4" s="15"/>
      <c r="E4" s="10"/>
      <c r="I4" s="15"/>
    </row>
    <row r="5" spans="1:9" x14ac:dyDescent="0.35">
      <c r="A5" s="15"/>
      <c r="B5" s="1"/>
      <c r="C5" s="2" t="s">
        <v>0</v>
      </c>
      <c r="D5" s="8"/>
      <c r="E5" s="11"/>
      <c r="F5" s="1"/>
      <c r="G5" s="2" t="s">
        <v>0</v>
      </c>
      <c r="H5" s="8"/>
      <c r="I5" s="15"/>
    </row>
    <row r="6" spans="1:9" x14ac:dyDescent="0.35">
      <c r="A6" s="15"/>
      <c r="B6" s="3" t="s">
        <v>72</v>
      </c>
      <c r="C6" s="4"/>
      <c r="D6" s="4"/>
      <c r="E6" s="12"/>
      <c r="F6" s="3" t="s">
        <v>1</v>
      </c>
      <c r="G6" s="4"/>
      <c r="H6" s="4"/>
      <c r="I6" s="15"/>
    </row>
    <row r="7" spans="1:9" x14ac:dyDescent="0.35">
      <c r="A7" s="15"/>
      <c r="B7" s="3" t="s">
        <v>73</v>
      </c>
      <c r="C7" s="4"/>
      <c r="D7" s="4"/>
      <c r="E7" s="12"/>
      <c r="F7" s="3" t="s">
        <v>2</v>
      </c>
      <c r="G7" s="4"/>
      <c r="H7" s="4"/>
      <c r="I7" s="15"/>
    </row>
    <row r="8" spans="1:9" x14ac:dyDescent="0.35">
      <c r="A8" s="15"/>
      <c r="B8" s="3" t="s">
        <v>74</v>
      </c>
      <c r="C8" s="4"/>
      <c r="D8" s="4"/>
      <c r="E8" s="12"/>
      <c r="F8" s="3" t="s">
        <v>3</v>
      </c>
      <c r="G8" s="5">
        <f>52551.59</f>
        <v>52551.59</v>
      </c>
      <c r="H8" s="5"/>
      <c r="I8" s="15"/>
    </row>
    <row r="9" spans="1:9" x14ac:dyDescent="0.35">
      <c r="A9" s="15"/>
      <c r="B9" s="3" t="s">
        <v>75</v>
      </c>
      <c r="C9" s="5">
        <f>0</f>
        <v>0</v>
      </c>
      <c r="D9" s="5"/>
      <c r="E9" s="13"/>
      <c r="F9" s="3" t="s">
        <v>4</v>
      </c>
      <c r="G9" s="5">
        <f>-4122.79</f>
        <v>-4122.79</v>
      </c>
      <c r="H9" s="5"/>
      <c r="I9" s="15"/>
    </row>
    <row r="10" spans="1:9" x14ac:dyDescent="0.35">
      <c r="A10" s="15"/>
      <c r="B10" s="3" t="s">
        <v>76</v>
      </c>
      <c r="C10" s="5">
        <f>13279.15</f>
        <v>13279.15</v>
      </c>
      <c r="D10" s="5"/>
      <c r="E10" s="13"/>
      <c r="F10" s="3" t="s">
        <v>5</v>
      </c>
      <c r="G10" s="6">
        <f>(G8)+(G9)</f>
        <v>48428.799999999996</v>
      </c>
      <c r="H10" s="9"/>
      <c r="I10" s="15"/>
    </row>
    <row r="11" spans="1:9" x14ac:dyDescent="0.35">
      <c r="A11" s="15"/>
      <c r="B11" s="3" t="s">
        <v>77</v>
      </c>
      <c r="C11" s="5">
        <f>20.03</f>
        <v>20.03</v>
      </c>
      <c r="D11" s="5"/>
      <c r="E11" s="13"/>
      <c r="F11" s="3" t="s">
        <v>6</v>
      </c>
      <c r="G11" s="5">
        <f>273182.01</f>
        <v>273182.01</v>
      </c>
      <c r="H11" s="5"/>
      <c r="I11" s="15"/>
    </row>
    <row r="12" spans="1:9" x14ac:dyDescent="0.35">
      <c r="A12" s="15"/>
      <c r="B12" s="3" t="s">
        <v>78</v>
      </c>
      <c r="C12" s="5">
        <f>15.34</f>
        <v>15.34</v>
      </c>
      <c r="D12" s="5"/>
      <c r="E12" s="13"/>
      <c r="F12" s="3" t="s">
        <v>7</v>
      </c>
      <c r="G12" s="5">
        <f>-54245.41</f>
        <v>-54245.41</v>
      </c>
      <c r="H12" s="5"/>
      <c r="I12" s="15"/>
    </row>
    <row r="13" spans="1:9" x14ac:dyDescent="0.35">
      <c r="A13" s="15"/>
      <c r="B13" s="3" t="s">
        <v>79</v>
      </c>
      <c r="C13" s="5">
        <f>1200.54</f>
        <v>1200.54</v>
      </c>
      <c r="D13" s="5"/>
      <c r="E13" s="13"/>
      <c r="F13" s="3" t="s">
        <v>8</v>
      </c>
      <c r="G13" s="6">
        <f>(G11)+(G12)</f>
        <v>218936.6</v>
      </c>
      <c r="H13" s="9"/>
      <c r="I13" s="15"/>
    </row>
    <row r="14" spans="1:9" x14ac:dyDescent="0.35">
      <c r="A14" s="15"/>
      <c r="B14" s="3" t="s">
        <v>80</v>
      </c>
      <c r="C14" s="5">
        <f>829.83</f>
        <v>829.83</v>
      </c>
      <c r="D14" s="5"/>
      <c r="E14" s="13"/>
      <c r="F14" s="3" t="s">
        <v>9</v>
      </c>
      <c r="G14" s="5">
        <f>3083.65</f>
        <v>3083.65</v>
      </c>
      <c r="H14" s="5"/>
      <c r="I14" s="15"/>
    </row>
    <row r="15" spans="1:9" x14ac:dyDescent="0.35">
      <c r="A15" s="15"/>
      <c r="B15" s="3" t="s">
        <v>81</v>
      </c>
      <c r="C15" s="5">
        <f>420.02</f>
        <v>420.02</v>
      </c>
      <c r="D15" s="5"/>
      <c r="E15" s="13"/>
      <c r="F15" s="3" t="s">
        <v>10</v>
      </c>
      <c r="G15" s="5">
        <f>19.99</f>
        <v>19.989999999999998</v>
      </c>
      <c r="H15" s="5"/>
      <c r="I15" s="15"/>
    </row>
    <row r="16" spans="1:9" x14ac:dyDescent="0.35">
      <c r="A16" s="15"/>
      <c r="B16" s="3" t="s">
        <v>82</v>
      </c>
      <c r="C16" s="7"/>
      <c r="D16" s="9"/>
      <c r="E16" s="14"/>
      <c r="F16" s="3" t="s">
        <v>11</v>
      </c>
      <c r="G16" s="5">
        <f>93650.79</f>
        <v>93650.79</v>
      </c>
      <c r="H16" s="5"/>
      <c r="I16" s="15"/>
    </row>
    <row r="17" spans="1:9" x14ac:dyDescent="0.35">
      <c r="A17" s="15"/>
      <c r="B17" s="3" t="s">
        <v>83</v>
      </c>
      <c r="C17" s="4"/>
      <c r="D17" s="4"/>
      <c r="E17" s="12"/>
      <c r="F17" s="3" t="s">
        <v>12</v>
      </c>
      <c r="G17" s="5">
        <f>-14030.95</f>
        <v>-14030.95</v>
      </c>
      <c r="H17" s="5"/>
      <c r="I17" s="15"/>
    </row>
    <row r="18" spans="1:9" x14ac:dyDescent="0.35">
      <c r="A18" s="15"/>
      <c r="B18" s="3" t="s">
        <v>84</v>
      </c>
      <c r="C18" s="5">
        <f>1450.82</f>
        <v>1450.82</v>
      </c>
      <c r="D18" s="5"/>
      <c r="E18" s="13"/>
      <c r="F18" s="3" t="s">
        <v>13</v>
      </c>
      <c r="G18" s="6">
        <f>(G16)+(G17)</f>
        <v>79619.839999999997</v>
      </c>
      <c r="H18" s="9"/>
      <c r="I18" s="15"/>
    </row>
    <row r="19" spans="1:9" x14ac:dyDescent="0.35">
      <c r="A19" s="15"/>
      <c r="B19" s="3" t="s">
        <v>85</v>
      </c>
      <c r="C19" s="5">
        <f>0</f>
        <v>0</v>
      </c>
      <c r="D19" s="5"/>
      <c r="E19" s="13"/>
      <c r="F19" s="3" t="s">
        <v>14</v>
      </c>
      <c r="G19" s="6"/>
      <c r="H19" s="9"/>
      <c r="I19" s="15"/>
    </row>
    <row r="20" spans="1:9" x14ac:dyDescent="0.35">
      <c r="A20" s="15"/>
      <c r="B20" s="3" t="s">
        <v>86</v>
      </c>
      <c r="C20" s="5">
        <f>0</f>
        <v>0</v>
      </c>
      <c r="D20" s="5"/>
      <c r="E20" s="13"/>
      <c r="F20" s="3" t="s">
        <v>15</v>
      </c>
      <c r="G20" s="5">
        <f>1366.14</f>
        <v>1366.14</v>
      </c>
      <c r="H20" s="5"/>
      <c r="I20" s="15"/>
    </row>
    <row r="21" spans="1:9" x14ac:dyDescent="0.35">
      <c r="A21" s="15"/>
      <c r="B21" s="3" t="s">
        <v>87</v>
      </c>
      <c r="C21" s="5">
        <f>257580.67</f>
        <v>257580.67</v>
      </c>
      <c r="D21" s="5"/>
      <c r="E21" s="13"/>
      <c r="F21" s="3" t="s">
        <v>16</v>
      </c>
      <c r="G21" s="6"/>
      <c r="H21" s="9"/>
      <c r="I21" s="15"/>
    </row>
    <row r="22" spans="1:9" x14ac:dyDescent="0.35">
      <c r="A22" s="15"/>
      <c r="B22" s="3" t="s">
        <v>88</v>
      </c>
      <c r="C22" s="5">
        <f>0</f>
        <v>0</v>
      </c>
      <c r="D22" s="5"/>
      <c r="E22" s="13"/>
      <c r="F22" s="3" t="s">
        <v>17</v>
      </c>
      <c r="G22" s="4"/>
      <c r="H22" s="4"/>
      <c r="I22" s="15"/>
    </row>
    <row r="23" spans="1:9" x14ac:dyDescent="0.35">
      <c r="A23" s="15"/>
      <c r="B23" s="3" t="s">
        <v>89</v>
      </c>
      <c r="C23" s="7">
        <f>((((C18)+(C19))+(C20))+(C21))+(C22)</f>
        <v>259031.49000000002</v>
      </c>
      <c r="D23" s="9"/>
      <c r="E23" s="14"/>
      <c r="F23" s="3" t="s">
        <v>18</v>
      </c>
      <c r="G23" s="5">
        <f>158963.68</f>
        <v>158963.68</v>
      </c>
      <c r="H23" s="5"/>
      <c r="I23" s="15"/>
    </row>
    <row r="24" spans="1:9" x14ac:dyDescent="0.35">
      <c r="A24" s="15"/>
      <c r="B24" s="3" t="s">
        <v>90</v>
      </c>
      <c r="C24" s="7"/>
      <c r="D24" s="9"/>
      <c r="E24" s="14"/>
      <c r="F24" s="3" t="s">
        <v>19</v>
      </c>
      <c r="G24" s="4"/>
      <c r="H24" s="4"/>
      <c r="I24" s="15"/>
    </row>
    <row r="25" spans="1:9" x14ac:dyDescent="0.35">
      <c r="A25" s="15"/>
      <c r="B25" s="3" t="s">
        <v>91</v>
      </c>
      <c r="C25" s="4"/>
      <c r="D25" s="4"/>
      <c r="E25" s="12"/>
      <c r="F25" s="3" t="s">
        <v>20</v>
      </c>
      <c r="G25" s="5">
        <f>159.96</f>
        <v>159.96</v>
      </c>
      <c r="H25" s="5"/>
      <c r="I25" s="15"/>
    </row>
    <row r="26" spans="1:9" x14ac:dyDescent="0.35">
      <c r="A26" s="15"/>
      <c r="B26" s="3" t="s">
        <v>92</v>
      </c>
      <c r="C26" s="5">
        <f>-3260.53</f>
        <v>-3260.53</v>
      </c>
      <c r="D26" s="5"/>
      <c r="E26" s="13"/>
      <c r="F26" s="3" t="s">
        <v>21</v>
      </c>
      <c r="G26" s="4"/>
      <c r="H26" s="4"/>
      <c r="I26" s="15"/>
    </row>
    <row r="27" spans="1:9" x14ac:dyDescent="0.35">
      <c r="A27" s="15"/>
      <c r="B27" s="3" t="s">
        <v>93</v>
      </c>
      <c r="C27" s="5">
        <f>3603.94</f>
        <v>3603.94</v>
      </c>
      <c r="D27" s="5"/>
      <c r="E27" s="13"/>
      <c r="F27" s="3" t="s">
        <v>22</v>
      </c>
      <c r="G27" s="5">
        <f>1634.76</f>
        <v>1634.76</v>
      </c>
      <c r="H27" s="5"/>
      <c r="I27" s="15"/>
    </row>
    <row r="28" spans="1:9" x14ac:dyDescent="0.35">
      <c r="A28" s="15"/>
      <c r="B28" s="3" t="s">
        <v>94</v>
      </c>
      <c r="C28" s="7">
        <f>(C26)+(C27)</f>
        <v>343.40999999999985</v>
      </c>
      <c r="D28" s="9"/>
      <c r="E28" s="14"/>
      <c r="F28" s="3" t="s">
        <v>23</v>
      </c>
      <c r="G28" s="5">
        <f>-125.61</f>
        <v>-125.61</v>
      </c>
      <c r="H28" s="5"/>
      <c r="I28" s="15"/>
    </row>
    <row r="29" spans="1:9" x14ac:dyDescent="0.35">
      <c r="A29" s="15"/>
      <c r="B29" s="3" t="s">
        <v>95</v>
      </c>
      <c r="C29" s="4"/>
      <c r="D29" s="4"/>
      <c r="E29" s="12"/>
      <c r="F29" s="3" t="s">
        <v>24</v>
      </c>
      <c r="G29" s="6">
        <f>(G27)+(G28)</f>
        <v>1509.15</v>
      </c>
      <c r="H29" s="9"/>
      <c r="I29" s="15"/>
    </row>
    <row r="30" spans="1:9" x14ac:dyDescent="0.35">
      <c r="A30" s="15"/>
      <c r="B30" s="3" t="s">
        <v>96</v>
      </c>
      <c r="C30" s="5">
        <f>109.2</f>
        <v>109.2</v>
      </c>
      <c r="D30" s="5"/>
      <c r="E30" s="13"/>
      <c r="F30" s="3" t="s">
        <v>25</v>
      </c>
      <c r="G30" s="5">
        <f>5589.31</f>
        <v>5589.31</v>
      </c>
      <c r="H30" s="5"/>
      <c r="I30" s="15"/>
    </row>
    <row r="31" spans="1:9" x14ac:dyDescent="0.35">
      <c r="A31" s="15"/>
      <c r="B31" s="3" t="s">
        <v>97</v>
      </c>
      <c r="C31" s="7">
        <f>C30</f>
        <v>109.2</v>
      </c>
      <c r="D31" s="9"/>
      <c r="E31" s="14"/>
      <c r="F31" s="3" t="s">
        <v>26</v>
      </c>
      <c r="G31" s="5">
        <f>466.77</f>
        <v>466.77</v>
      </c>
      <c r="H31" s="5"/>
      <c r="I31" s="15"/>
    </row>
    <row r="32" spans="1:9" x14ac:dyDescent="0.35">
      <c r="A32" s="15"/>
      <c r="B32" s="3" t="s">
        <v>98</v>
      </c>
      <c r="C32" s="7"/>
      <c r="D32" s="9"/>
      <c r="E32" s="14"/>
      <c r="F32" s="3" t="s">
        <v>27</v>
      </c>
      <c r="G32" s="5">
        <f>14.76</f>
        <v>14.76</v>
      </c>
      <c r="H32" s="5"/>
      <c r="I32" s="15"/>
    </row>
    <row r="33" spans="1:9" x14ac:dyDescent="0.35">
      <c r="A33" s="15"/>
      <c r="B33" s="3" t="s">
        <v>99</v>
      </c>
      <c r="C33" s="4"/>
      <c r="D33" s="4"/>
      <c r="E33" s="12"/>
      <c r="F33" s="3" t="s">
        <v>28</v>
      </c>
      <c r="G33" s="5">
        <f>2673.94</f>
        <v>2673.94</v>
      </c>
      <c r="H33" s="5"/>
      <c r="I33" s="15"/>
    </row>
    <row r="34" spans="1:9" ht="22" x14ac:dyDescent="0.35">
      <c r="A34" s="15"/>
      <c r="B34" s="3" t="s">
        <v>100</v>
      </c>
      <c r="C34" s="4"/>
      <c r="D34" s="4"/>
      <c r="E34" s="12"/>
      <c r="F34" s="3" t="s">
        <v>29</v>
      </c>
      <c r="G34" s="6">
        <f>(((((G26)+(G29))+(G30))+(G31))+(G32))+(G33)</f>
        <v>10253.930000000002</v>
      </c>
      <c r="H34" s="9"/>
      <c r="I34" s="15"/>
    </row>
    <row r="35" spans="1:9" x14ac:dyDescent="0.35">
      <c r="A35" s="15"/>
      <c r="B35" s="3" t="s">
        <v>101</v>
      </c>
      <c r="C35" s="4"/>
      <c r="D35" s="4"/>
      <c r="E35" s="12"/>
      <c r="F35" s="3" t="s">
        <v>30</v>
      </c>
      <c r="G35" s="5">
        <f>4994.29</f>
        <v>4994.29</v>
      </c>
      <c r="H35" s="5"/>
      <c r="I35" s="15"/>
    </row>
    <row r="36" spans="1:9" ht="22" x14ac:dyDescent="0.35">
      <c r="A36" s="15"/>
      <c r="B36" s="3" t="s">
        <v>102</v>
      </c>
      <c r="C36" s="4"/>
      <c r="D36" s="4"/>
      <c r="E36" s="12"/>
      <c r="F36" s="3" t="s">
        <v>31</v>
      </c>
      <c r="G36" s="5">
        <f>41268.16</f>
        <v>41268.160000000003</v>
      </c>
      <c r="H36" s="5"/>
      <c r="I36" s="15"/>
    </row>
    <row r="37" spans="1:9" x14ac:dyDescent="0.35">
      <c r="A37" s="15"/>
      <c r="B37" s="3" t="s">
        <v>103</v>
      </c>
      <c r="C37" s="5">
        <f>21111.13</f>
        <v>21111.13</v>
      </c>
      <c r="D37" s="5"/>
      <c r="E37" s="13"/>
      <c r="F37" s="3" t="s">
        <v>32</v>
      </c>
      <c r="G37" s="6">
        <f>((((G24)+(G25))+(G34))+(G35))+(G36)</f>
        <v>56676.340000000004</v>
      </c>
      <c r="H37" s="9"/>
      <c r="I37" s="15"/>
    </row>
    <row r="38" spans="1:9" x14ac:dyDescent="0.35">
      <c r="A38" s="15"/>
      <c r="B38" s="3" t="s">
        <v>104</v>
      </c>
      <c r="C38" s="5">
        <f>19164.7</f>
        <v>19164.7</v>
      </c>
      <c r="D38" s="5"/>
      <c r="E38" s="13"/>
      <c r="F38" s="3" t="s">
        <v>33</v>
      </c>
      <c r="G38" s="6"/>
      <c r="H38" s="9"/>
      <c r="I38" s="15"/>
    </row>
    <row r="39" spans="1:9" x14ac:dyDescent="0.35">
      <c r="A39" s="15"/>
      <c r="B39" s="3" t="s">
        <v>105</v>
      </c>
      <c r="C39" s="5">
        <f>19889.83</f>
        <v>19889.830000000002</v>
      </c>
      <c r="D39" s="5"/>
      <c r="E39" s="13"/>
      <c r="F39" s="3" t="s">
        <v>34</v>
      </c>
      <c r="G39" s="6"/>
      <c r="H39" s="9"/>
      <c r="I39" s="15"/>
    </row>
    <row r="40" spans="1:9" x14ac:dyDescent="0.35">
      <c r="A40" s="15"/>
      <c r="B40" s="3" t="s">
        <v>106</v>
      </c>
      <c r="C40" s="7"/>
      <c r="D40" s="9"/>
      <c r="E40" s="14"/>
      <c r="F40" s="3" t="s">
        <v>35</v>
      </c>
      <c r="G40" s="4"/>
      <c r="H40" s="4"/>
      <c r="I40" s="15"/>
    </row>
    <row r="41" spans="1:9" x14ac:dyDescent="0.35">
      <c r="A41" s="15"/>
      <c r="B41" s="3" t="s">
        <v>107</v>
      </c>
      <c r="C41" s="4"/>
      <c r="D41" s="4"/>
      <c r="E41" s="12"/>
      <c r="F41" s="3" t="s">
        <v>36</v>
      </c>
      <c r="G41" s="4"/>
      <c r="H41" s="4"/>
      <c r="I41" s="15"/>
    </row>
    <row r="42" spans="1:9" x14ac:dyDescent="0.35">
      <c r="A42" s="15"/>
      <c r="B42" s="3" t="s">
        <v>108</v>
      </c>
      <c r="C42" s="5">
        <f>17640.45</f>
        <v>17640.45</v>
      </c>
      <c r="D42" s="5"/>
      <c r="E42" s="13"/>
      <c r="F42" s="3" t="s">
        <v>37</v>
      </c>
      <c r="G42" s="5">
        <f>8400</f>
        <v>8400</v>
      </c>
      <c r="H42" s="5"/>
      <c r="I42" s="15"/>
    </row>
    <row r="43" spans="1:9" ht="22" x14ac:dyDescent="0.35">
      <c r="A43" s="15"/>
      <c r="B43" s="3" t="s">
        <v>109</v>
      </c>
      <c r="C43" s="4"/>
      <c r="D43" s="4"/>
      <c r="E43" s="12"/>
      <c r="F43" s="3" t="s">
        <v>38</v>
      </c>
      <c r="G43" s="5">
        <f>300</f>
        <v>300</v>
      </c>
      <c r="H43" s="5"/>
      <c r="I43" s="15"/>
    </row>
    <row r="44" spans="1:9" x14ac:dyDescent="0.35">
      <c r="A44" s="15"/>
      <c r="B44" s="3" t="s">
        <v>110</v>
      </c>
      <c r="C44" s="5">
        <f>0</f>
        <v>0</v>
      </c>
      <c r="D44" s="5"/>
      <c r="E44" s="13"/>
      <c r="F44" s="3" t="s">
        <v>39</v>
      </c>
      <c r="G44" s="5">
        <f>26000</f>
        <v>26000</v>
      </c>
      <c r="H44" s="5"/>
      <c r="I44" s="15"/>
    </row>
    <row r="45" spans="1:9" x14ac:dyDescent="0.35">
      <c r="A45" s="15"/>
      <c r="B45" s="3" t="s">
        <v>111</v>
      </c>
      <c r="C45" s="5">
        <f>20000</f>
        <v>20000</v>
      </c>
      <c r="D45" s="5"/>
      <c r="E45" s="13"/>
      <c r="F45" s="3" t="s">
        <v>40</v>
      </c>
      <c r="G45" s="6">
        <f>(((G41)+(G42))+(G43))+(G44)</f>
        <v>34700</v>
      </c>
      <c r="H45" s="9"/>
      <c r="I45" s="15"/>
    </row>
    <row r="46" spans="1:9" ht="22" x14ac:dyDescent="0.35">
      <c r="A46" s="15"/>
      <c r="B46" s="3" t="s">
        <v>112</v>
      </c>
      <c r="C46" s="5">
        <f>1200</f>
        <v>1200</v>
      </c>
      <c r="D46" s="5"/>
      <c r="E46" s="13"/>
      <c r="F46" s="3" t="s">
        <v>41</v>
      </c>
      <c r="G46" s="5">
        <f>138.3</f>
        <v>138.30000000000001</v>
      </c>
      <c r="H46" s="5"/>
      <c r="I46" s="15"/>
    </row>
    <row r="47" spans="1:9" x14ac:dyDescent="0.35">
      <c r="A47" s="15"/>
      <c r="B47" s="3" t="s">
        <v>113</v>
      </c>
      <c r="C47" s="5">
        <f>0</f>
        <v>0</v>
      </c>
      <c r="D47" s="5"/>
      <c r="E47" s="13"/>
      <c r="F47" s="3" t="s">
        <v>42</v>
      </c>
      <c r="G47" s="5">
        <f>-5894.72</f>
        <v>-5894.72</v>
      </c>
      <c r="H47" s="5"/>
      <c r="I47" s="15"/>
    </row>
    <row r="48" spans="1:9" ht="22" x14ac:dyDescent="0.35">
      <c r="A48" s="15"/>
      <c r="B48" s="3" t="s">
        <v>114</v>
      </c>
      <c r="C48" s="5">
        <f>7000</f>
        <v>7000</v>
      </c>
      <c r="D48" s="5"/>
      <c r="E48" s="13"/>
      <c r="F48" s="3" t="s">
        <v>43</v>
      </c>
      <c r="G48" s="6">
        <f>(G46)+(G47)</f>
        <v>-5756.42</v>
      </c>
      <c r="H48" s="9"/>
      <c r="I48" s="15"/>
    </row>
    <row r="49" spans="1:9" x14ac:dyDescent="0.35">
      <c r="A49" s="15"/>
      <c r="B49" s="3" t="s">
        <v>115</v>
      </c>
      <c r="C49" s="7">
        <f>(((((C43)+(C44))+(C45))+(C46))+(C47))+(C48)</f>
        <v>28200</v>
      </c>
      <c r="D49" s="9"/>
      <c r="E49" s="14"/>
      <c r="F49" s="3" t="s">
        <v>44</v>
      </c>
      <c r="G49" s="5">
        <f>999.21</f>
        <v>999.21</v>
      </c>
      <c r="H49" s="5"/>
      <c r="I49" s="15"/>
    </row>
    <row r="50" spans="1:9" x14ac:dyDescent="0.35">
      <c r="A50" s="15"/>
      <c r="B50" s="3" t="s">
        <v>116</v>
      </c>
      <c r="C50" s="5">
        <f>49.24</f>
        <v>49.24</v>
      </c>
      <c r="D50" s="5"/>
      <c r="E50" s="13"/>
      <c r="F50" s="3" t="s">
        <v>45</v>
      </c>
      <c r="G50" s="5">
        <f>27298.26</f>
        <v>27298.26</v>
      </c>
      <c r="H50" s="5"/>
      <c r="I50" s="15"/>
    </row>
    <row r="51" spans="1:9" ht="22" x14ac:dyDescent="0.35">
      <c r="A51" s="15"/>
      <c r="B51" s="3" t="s">
        <v>117</v>
      </c>
      <c r="C51" s="5">
        <f>4055.95</f>
        <v>4055.95</v>
      </c>
      <c r="D51" s="5"/>
      <c r="E51" s="13"/>
      <c r="F51" s="3" t="s">
        <v>46</v>
      </c>
      <c r="G51" s="5">
        <f>19022.99</f>
        <v>19022.990000000002</v>
      </c>
      <c r="H51" s="5"/>
      <c r="I51" s="15"/>
    </row>
    <row r="52" spans="1:9" x14ac:dyDescent="0.35">
      <c r="A52" s="15"/>
      <c r="B52" s="3" t="s">
        <v>118</v>
      </c>
      <c r="C52" s="7">
        <f>(((C42)+(C49))+(C50))+(C51)</f>
        <v>49945.639999999992</v>
      </c>
      <c r="D52" s="9"/>
      <c r="E52" s="14"/>
      <c r="F52" s="3" t="s">
        <v>47</v>
      </c>
      <c r="G52" s="5">
        <f>226</f>
        <v>226</v>
      </c>
      <c r="H52" s="5"/>
      <c r="I52" s="15"/>
    </row>
    <row r="53" spans="1:9" x14ac:dyDescent="0.35">
      <c r="A53" s="15"/>
      <c r="B53" s="3" t="s">
        <v>119</v>
      </c>
      <c r="C53" s="7"/>
      <c r="D53" s="9"/>
      <c r="E53" s="14"/>
      <c r="F53" s="3" t="s">
        <v>48</v>
      </c>
      <c r="G53" s="4"/>
      <c r="H53" s="4"/>
      <c r="I53" s="15"/>
    </row>
    <row r="54" spans="1:9" x14ac:dyDescent="0.35">
      <c r="A54" s="15"/>
      <c r="B54" s="3" t="s">
        <v>120</v>
      </c>
      <c r="C54" s="4"/>
      <c r="D54" s="4"/>
      <c r="E54" s="12"/>
      <c r="F54" s="3" t="s">
        <v>49</v>
      </c>
      <c r="G54" s="5">
        <f>444.85</f>
        <v>444.85</v>
      </c>
      <c r="H54" s="5"/>
      <c r="I54" s="15"/>
    </row>
    <row r="55" spans="1:9" x14ac:dyDescent="0.35">
      <c r="A55" s="15"/>
      <c r="B55" s="3" t="s">
        <v>121</v>
      </c>
      <c r="C55" s="5">
        <f>0</f>
        <v>0</v>
      </c>
      <c r="D55" s="5"/>
      <c r="E55" s="13"/>
      <c r="F55" s="3" t="s">
        <v>50</v>
      </c>
      <c r="G55" s="6">
        <f>(G53)+(G54)</f>
        <v>444.85</v>
      </c>
      <c r="H55" s="9"/>
      <c r="I55" s="15"/>
    </row>
    <row r="56" spans="1:9" x14ac:dyDescent="0.35">
      <c r="A56" s="15"/>
      <c r="B56" s="3" t="s">
        <v>122</v>
      </c>
      <c r="C56" s="7">
        <f>C55</f>
        <v>0</v>
      </c>
      <c r="D56" s="9"/>
      <c r="E56" s="14"/>
      <c r="F56" s="3" t="s">
        <v>51</v>
      </c>
      <c r="G56" s="5">
        <f>7154</f>
        <v>7154</v>
      </c>
      <c r="H56" s="5"/>
      <c r="I56" s="15"/>
    </row>
    <row r="57" spans="1:9" x14ac:dyDescent="0.35">
      <c r="A57" s="15"/>
      <c r="B57" s="3" t="s">
        <v>123</v>
      </c>
      <c r="C57" s="7">
        <f>(C53)+(C56)</f>
        <v>0</v>
      </c>
      <c r="D57" s="9"/>
      <c r="E57" s="14"/>
      <c r="F57" s="3" t="s">
        <v>52</v>
      </c>
      <c r="G57" s="5">
        <f>1468.19</f>
        <v>1468.19</v>
      </c>
      <c r="H57" s="5"/>
      <c r="I57" s="15"/>
    </row>
    <row r="58" spans="1:9" ht="22" x14ac:dyDescent="0.35">
      <c r="A58" s="15"/>
      <c r="B58" s="3" t="s">
        <v>124</v>
      </c>
      <c r="C58" s="4"/>
      <c r="D58" s="4"/>
      <c r="E58" s="12"/>
      <c r="F58" s="3" t="s">
        <v>53</v>
      </c>
      <c r="G58" s="5">
        <f>21376.56</f>
        <v>21376.560000000001</v>
      </c>
      <c r="H58" s="5"/>
      <c r="I58" s="15"/>
    </row>
    <row r="59" spans="1:9" x14ac:dyDescent="0.35">
      <c r="A59" s="15"/>
      <c r="B59" s="3" t="s">
        <v>125</v>
      </c>
      <c r="C59" s="4"/>
      <c r="D59" s="4"/>
      <c r="E59" s="12"/>
      <c r="F59" s="3" t="s">
        <v>54</v>
      </c>
      <c r="G59" s="4"/>
      <c r="H59" s="4"/>
      <c r="I59" s="15"/>
    </row>
    <row r="60" spans="1:9" ht="22" x14ac:dyDescent="0.35">
      <c r="A60" s="15"/>
      <c r="B60" s="3" t="s">
        <v>126</v>
      </c>
      <c r="C60" s="5">
        <f>0</f>
        <v>0</v>
      </c>
      <c r="D60" s="5"/>
      <c r="E60" s="13"/>
      <c r="F60" s="3" t="s">
        <v>55</v>
      </c>
      <c r="G60" s="5">
        <f>47.25</f>
        <v>47.25</v>
      </c>
      <c r="H60" s="5"/>
      <c r="I60" s="15"/>
    </row>
    <row r="61" spans="1:9" x14ac:dyDescent="0.35">
      <c r="A61" s="15"/>
      <c r="B61" s="3" t="s">
        <v>127</v>
      </c>
      <c r="C61" s="5">
        <f>0</f>
        <v>0</v>
      </c>
      <c r="D61" s="5"/>
      <c r="E61" s="13"/>
      <c r="F61" s="3" t="s">
        <v>56</v>
      </c>
      <c r="G61" s="5">
        <f>13291.6</f>
        <v>13291.6</v>
      </c>
      <c r="H61" s="5"/>
      <c r="I61" s="15"/>
    </row>
    <row r="62" spans="1:9" x14ac:dyDescent="0.35">
      <c r="A62" s="15"/>
      <c r="B62" s="3" t="s">
        <v>128</v>
      </c>
      <c r="C62" s="5">
        <f>0</f>
        <v>0</v>
      </c>
      <c r="D62" s="5"/>
      <c r="E62" s="13"/>
      <c r="F62" s="3" t="s">
        <v>57</v>
      </c>
      <c r="G62" s="5">
        <f>1630.98</f>
        <v>1630.98</v>
      </c>
      <c r="H62" s="5"/>
      <c r="I62" s="15"/>
    </row>
    <row r="63" spans="1:9" x14ac:dyDescent="0.35">
      <c r="A63" s="15"/>
      <c r="B63" s="3" t="s">
        <v>129</v>
      </c>
      <c r="C63" s="5">
        <f>0</f>
        <v>0</v>
      </c>
      <c r="D63" s="5"/>
      <c r="E63" s="13"/>
      <c r="F63" s="3" t="s">
        <v>58</v>
      </c>
      <c r="G63" s="6">
        <f>(((G59)+(G60))+(G61))+(G62)</f>
        <v>14969.83</v>
      </c>
      <c r="H63" s="9"/>
      <c r="I63" s="15"/>
    </row>
    <row r="64" spans="1:9" x14ac:dyDescent="0.35">
      <c r="A64" s="15"/>
      <c r="B64" s="3" t="s">
        <v>130</v>
      </c>
      <c r="C64" s="7">
        <f>((((C59)+(C60))+(C61))+(C62))+(C63)</f>
        <v>0</v>
      </c>
      <c r="D64" s="9"/>
      <c r="E64" s="14"/>
      <c r="F64" s="3" t="s">
        <v>59</v>
      </c>
      <c r="G64" s="5">
        <f>76.69</f>
        <v>76.69</v>
      </c>
      <c r="H64" s="5"/>
      <c r="I64" s="15"/>
    </row>
    <row r="65" spans="1:9" x14ac:dyDescent="0.35">
      <c r="A65" s="15"/>
      <c r="B65" s="3" t="s">
        <v>131</v>
      </c>
      <c r="C65" s="5">
        <f>99978.84</f>
        <v>99978.84</v>
      </c>
      <c r="D65" s="5"/>
      <c r="E65" s="13"/>
      <c r="F65" s="3" t="s">
        <v>60</v>
      </c>
      <c r="G65" s="5">
        <f>137.91</f>
        <v>137.91</v>
      </c>
      <c r="H65" s="5"/>
      <c r="I65" s="15"/>
    </row>
    <row r="66" spans="1:9" x14ac:dyDescent="0.35">
      <c r="A66" s="15"/>
      <c r="B66" s="3" t="s">
        <v>132</v>
      </c>
      <c r="C66" s="5">
        <f>225220.33</f>
        <v>225220.33</v>
      </c>
      <c r="D66" s="5"/>
      <c r="E66" s="13"/>
      <c r="F66" s="3" t="s">
        <v>61</v>
      </c>
      <c r="G66" s="6">
        <f>((((((((((((G45)+(G48))+(G49))+(G50))+(G51))+(G52))+(G55))+(G56))+(G57))+(G58))+(G63))+(G64))+(G65)</f>
        <v>122118.07000000002</v>
      </c>
      <c r="H66" s="9"/>
      <c r="I66" s="15"/>
    </row>
    <row r="67" spans="1:9" x14ac:dyDescent="0.35">
      <c r="A67" s="15"/>
      <c r="B67" s="3" t="s">
        <v>133</v>
      </c>
      <c r="C67" s="5">
        <f>-173758.6</f>
        <v>-173758.6</v>
      </c>
      <c r="D67" s="5"/>
      <c r="E67" s="13"/>
      <c r="F67" s="3" t="s">
        <v>62</v>
      </c>
      <c r="G67" s="6">
        <f>(G39)-(G66)</f>
        <v>-122118.07000000002</v>
      </c>
      <c r="H67" s="9"/>
      <c r="I67" s="15"/>
    </row>
    <row r="68" spans="1:9" x14ac:dyDescent="0.35">
      <c r="A68" s="15"/>
      <c r="B68" s="3" t="s">
        <v>134</v>
      </c>
      <c r="C68" s="5">
        <f>13697.14</f>
        <v>13697.14</v>
      </c>
      <c r="D68" s="5"/>
      <c r="E68" s="13"/>
      <c r="F68" s="3" t="s">
        <v>63</v>
      </c>
      <c r="G68" s="4"/>
      <c r="H68" s="4"/>
      <c r="I68" s="15"/>
    </row>
    <row r="69" spans="1:9" x14ac:dyDescent="0.35">
      <c r="A69" s="15"/>
      <c r="B69" s="3" t="s">
        <v>135</v>
      </c>
      <c r="C69" s="7">
        <f>((((C64)+(C65))+(C66))+(C67))+(C68)</f>
        <v>165137.70999999996</v>
      </c>
      <c r="D69" s="9"/>
      <c r="E69" s="14"/>
      <c r="F69" s="3" t="s">
        <v>64</v>
      </c>
      <c r="G69" s="5">
        <f>0.21</f>
        <v>0.21</v>
      </c>
      <c r="H69" s="5"/>
      <c r="I69" s="15"/>
    </row>
    <row r="70" spans="1:9" x14ac:dyDescent="0.35">
      <c r="A70" s="15"/>
      <c r="B70" s="3" t="s">
        <v>136</v>
      </c>
      <c r="C70" s="7"/>
      <c r="D70" s="9"/>
      <c r="E70" s="14"/>
      <c r="F70" s="3" t="s">
        <v>65</v>
      </c>
      <c r="G70" s="6">
        <f>G69</f>
        <v>0.21</v>
      </c>
      <c r="H70" s="9"/>
      <c r="I70" s="15"/>
    </row>
    <row r="71" spans="1:9" x14ac:dyDescent="0.35">
      <c r="A71" s="15"/>
      <c r="B71" s="3"/>
      <c r="C71" s="4"/>
      <c r="D71" s="4"/>
      <c r="E71" s="12"/>
      <c r="F71" s="3" t="s">
        <v>66</v>
      </c>
      <c r="G71" s="6">
        <f>(G70)-(0)</f>
        <v>0.21</v>
      </c>
      <c r="H71" s="9"/>
      <c r="I71" s="15"/>
    </row>
    <row r="72" spans="1:9" x14ac:dyDescent="0.35">
      <c r="A72" s="15"/>
      <c r="D72" s="9"/>
      <c r="E72" s="14"/>
      <c r="F72" s="3" t="s">
        <v>67</v>
      </c>
      <c r="G72" s="7"/>
      <c r="H72" s="9"/>
      <c r="I72" s="15"/>
    </row>
    <row r="73" spans="1:9" x14ac:dyDescent="0.35">
      <c r="A73" s="15"/>
      <c r="B73" s="3"/>
      <c r="C73" s="4"/>
      <c r="D73" s="4"/>
      <c r="E73" s="12"/>
      <c r="I73" s="15"/>
    </row>
    <row r="74" spans="1:9" x14ac:dyDescent="0.35">
      <c r="A74" s="15"/>
      <c r="B74" s="15"/>
      <c r="C74" s="15"/>
      <c r="D74" s="15"/>
      <c r="E74" s="10"/>
      <c r="F74" s="15"/>
      <c r="G74" s="15"/>
      <c r="H74" s="15"/>
      <c r="I74" s="15"/>
    </row>
    <row r="76" spans="1:9" x14ac:dyDescent="0.35">
      <c r="B76" s="25" t="s">
        <v>139</v>
      </c>
      <c r="C76" s="25"/>
      <c r="D76" s="25"/>
      <c r="E76" s="25"/>
    </row>
    <row r="77" spans="1:9" x14ac:dyDescent="0.35">
      <c r="B77" s="25"/>
      <c r="C77" s="25"/>
      <c r="D77" s="25"/>
      <c r="E77" s="25"/>
    </row>
    <row r="78" spans="1:9" x14ac:dyDescent="0.35">
      <c r="B78" t="s">
        <v>137</v>
      </c>
    </row>
    <row r="83" spans="2:2" x14ac:dyDescent="0.35">
      <c r="B83" t="s">
        <v>138</v>
      </c>
    </row>
  </sheetData>
  <mergeCells count="6">
    <mergeCell ref="F1:G1"/>
    <mergeCell ref="F2:G2"/>
    <mergeCell ref="F3:G3"/>
    <mergeCell ref="B1:C1"/>
    <mergeCell ref="B2:C2"/>
    <mergeCell ref="B3:C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6790E4424614B84649ACA59C4EFE1" ma:contentTypeVersion="12" ma:contentTypeDescription="Create a new document." ma:contentTypeScope="" ma:versionID="26b0fca629a1f144eec5f5d74a4d4cf9">
  <xsd:schema xmlns:xsd="http://www.w3.org/2001/XMLSchema" xmlns:xs="http://www.w3.org/2001/XMLSchema" xmlns:p="http://schemas.microsoft.com/office/2006/metadata/properties" xmlns:ns2="993a8410-1379-4a54-8786-51cbe64326e9" xmlns:ns3="56d08b09-c744-4981-95f1-8e076d49978b" targetNamespace="http://schemas.microsoft.com/office/2006/metadata/properties" ma:root="true" ma:fieldsID="11a1deffb9e19fba43bff7a8cc3504ec" ns2:_="" ns3:_="">
    <xsd:import namespace="993a8410-1379-4a54-8786-51cbe64326e9"/>
    <xsd:import namespace="56d08b09-c744-4981-95f1-8e076d4997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8410-1379-4a54-8786-51cbe64326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08b09-c744-4981-95f1-8e076d49978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3E93ED-B53F-4FF4-80B7-D032CA3639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6E54FE-2F7C-4544-B7D0-4EB7FE09F11E}"/>
</file>

<file path=customXml/itemProps3.xml><?xml version="1.0" encoding="utf-8"?>
<ds:datastoreItem xmlns:ds="http://schemas.openxmlformats.org/officeDocument/2006/customXml" ds:itemID="{D84E333D-E7A0-4F97-9AF6-28A51C5997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Denise Cooper</cp:lastModifiedBy>
  <dcterms:created xsi:type="dcterms:W3CDTF">2021-05-20T20:22:14Z</dcterms:created>
  <dcterms:modified xsi:type="dcterms:W3CDTF">2021-05-20T21:14:19Z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0x0101007676790E4424614B84649ACA59C4EFE1</vt:lpwstr>
  </property>
</Properties>
</file>